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bookViews>
    <workbookView xWindow="0" yWindow="0" windowWidth="22260" windowHeight="12645"/>
  </bookViews>
  <sheets>
    <sheet name="Arkusz1" sheetId="1" r:id="rId1"/>
    <sheet name="ASTM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/>
  <c r="K3" i="2"/>
  <c r="K2" i="2"/>
  <c r="C2" i="2" s="1"/>
  <c r="C5" i="1"/>
  <c r="C3" i="2"/>
  <c r="C13" i="2" s="1"/>
  <c r="C14" i="2" s="1"/>
  <c r="P4" i="1"/>
  <c r="F7" i="1"/>
  <c r="L4" i="1"/>
  <c r="C12" i="2" l="1"/>
  <c r="J13" i="2"/>
  <c r="J14" i="2" s="1"/>
  <c r="D26" i="2" l="1"/>
  <c r="D27" i="2" s="1"/>
  <c r="F26" i="2" s="1"/>
  <c r="D22" i="2"/>
  <c r="D23" i="2" s="1"/>
  <c r="F22" i="2" s="1"/>
  <c r="D41" i="2"/>
  <c r="D42" i="2" s="1"/>
  <c r="F41" i="2" s="1"/>
  <c r="C5" i="2" s="1"/>
  <c r="K1" i="2" s="1"/>
  <c r="D7" i="1" s="1"/>
  <c r="J7" i="1" s="1"/>
  <c r="B39" i="2"/>
  <c r="D37" i="2"/>
  <c r="D38" i="2" s="1"/>
  <c r="F37" i="2" s="1"/>
  <c r="D30" i="2"/>
  <c r="D31" i="2" s="1"/>
  <c r="F30" i="2" s="1"/>
  <c r="D34" i="2"/>
  <c r="D35" i="2" s="1"/>
  <c r="F34" i="2" s="1"/>
  <c r="E5" i="2" l="1"/>
  <c r="C4" i="2"/>
  <c r="E4" i="2" s="1"/>
  <c r="C6" i="2"/>
  <c r="E6" i="2" s="1"/>
  <c r="J12" i="2" l="1"/>
  <c r="G5" i="2"/>
  <c r="G4" i="2"/>
  <c r="G6" i="2"/>
  <c r="K34" i="2" l="1"/>
  <c r="K35" i="2" s="1"/>
  <c r="M34" i="2" s="1"/>
  <c r="K30" i="2"/>
  <c r="K31" i="2" s="1"/>
  <c r="M30" i="2" s="1"/>
  <c r="I39" i="2"/>
  <c r="K41" i="2"/>
  <c r="K42" i="2" s="1"/>
  <c r="M41" i="2" s="1"/>
  <c r="K5" i="2" s="1"/>
  <c r="L5" i="2" s="1"/>
  <c r="H5" i="1" s="1"/>
  <c r="K26" i="2"/>
  <c r="K27" i="2" s="1"/>
  <c r="M26" i="2" s="1"/>
  <c r="K6" i="2" s="1"/>
  <c r="L6" i="2" s="1"/>
  <c r="K37" i="2"/>
  <c r="K38" i="2" s="1"/>
  <c r="M37" i="2" s="1"/>
  <c r="K22" i="2"/>
  <c r="K23" i="2" s="1"/>
  <c r="M22" i="2" s="1"/>
  <c r="K4" i="2" s="1"/>
  <c r="L4" i="2" s="1"/>
  <c r="D8" i="1" l="1"/>
  <c r="H8" i="1" s="1"/>
  <c r="J2" i="2" l="1"/>
  <c r="I5" i="2" l="1"/>
  <c r="I4" i="2"/>
  <c r="I6" i="2"/>
  <c r="M6" i="2"/>
  <c r="M5" i="2"/>
  <c r="H9" i="1" s="1"/>
  <c r="M4" i="2"/>
</calcChain>
</file>

<file path=xl/sharedStrings.xml><?xml version="1.0" encoding="utf-8"?>
<sst xmlns="http://schemas.openxmlformats.org/spreadsheetml/2006/main" count="102" uniqueCount="38">
  <si>
    <t>VCF calculation</t>
  </si>
  <si>
    <t>Density @ 15/vac=</t>
  </si>
  <si>
    <t>Density @</t>
  </si>
  <si>
    <t>Corresponding</t>
  </si>
  <si>
    <t>Mass</t>
  </si>
  <si>
    <t>Actual temp=</t>
  </si>
  <si>
    <t>actual temp</t>
  </si>
  <si>
    <t>dcc  (approximate)</t>
  </si>
  <si>
    <t>Volume</t>
  </si>
  <si>
    <t>VCF</t>
  </si>
  <si>
    <t>Table 54A=</t>
  </si>
  <si>
    <t>Table 54B=</t>
  </si>
  <si>
    <t>Table 54D=</t>
  </si>
  <si>
    <t>diff temp=</t>
  </si>
  <si>
    <t>Table 54A</t>
  </si>
  <si>
    <t>K0=</t>
  </si>
  <si>
    <t>a=</t>
  </si>
  <si>
    <t>VCF=</t>
  </si>
  <si>
    <t>K1=</t>
  </si>
  <si>
    <t>b=</t>
  </si>
  <si>
    <t>Table 54D</t>
  </si>
  <si>
    <t>Table 54B</t>
  </si>
  <si>
    <t>Dens @ 15/vac &lt; 770</t>
  </si>
  <si>
    <t>770 &lt;= Dens @ 15/vac &lt; 778</t>
  </si>
  <si>
    <t>c=</t>
  </si>
  <si>
    <t>d=</t>
  </si>
  <si>
    <t>778 &lt;= Dens @ 15/vac &lt; 839</t>
  </si>
  <si>
    <t>Dens @ 15/vac &gt;= 839</t>
  </si>
  <si>
    <t>Podaj gęstość (Density)</t>
  </si>
  <si>
    <t>Podaj temperaturę ( °C ) dla tej Gęstości :</t>
  </si>
  <si>
    <t>Gęstość dla  15°C =</t>
  </si>
  <si>
    <t>Sg.</t>
  </si>
  <si>
    <t>dens.</t>
  </si>
  <si>
    <t>Temp.</t>
  </si>
  <si>
    <t>tons @ 15°C</t>
  </si>
  <si>
    <t xml:space="preserve">cbm @ 15 °C </t>
  </si>
  <si>
    <t>Table 54C</t>
  </si>
  <si>
    <t>Wybierz Tabelę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</si>
</sst>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/>
  </cellStyleXfs>
  <cellXfs count="50">
    <xf numFmtId="0" fontId="0" fillId="0" borderId="0" xfId="0"/>
    <xf numFmtId="0" fontId="2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Alignment="1" applyProtection="1">
      <alignment horizontal="right"/>
      <protection locked="0"/>
    </xf>
    <xf numFmtId="164" fontId="3" fillId="0" borderId="5" xfId="1" applyNumberFormat="1" applyFont="1" applyBorder="1" applyProtection="1">
      <protection locked="0"/>
    </xf>
    <xf numFmtId="0" fontId="3" fillId="0" borderId="0" xfId="1" applyFont="1" applyProtection="1"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165" fontId="3" fillId="0" borderId="6" xfId="1" applyNumberFormat="1" applyFont="1" applyBorder="1" applyAlignment="1" applyProtection="1">
      <alignment horizontal="right"/>
      <protection locked="0"/>
    </xf>
    <xf numFmtId="164" fontId="3" fillId="0" borderId="0" xfId="2" applyNumberFormat="1" applyFont="1" applyAlignment="1" applyProtection="1">
      <alignment horizontal="center"/>
      <protection locked="0"/>
    </xf>
    <xf numFmtId="164" fontId="3" fillId="0" borderId="0" xfId="2" applyNumberFormat="1" applyFont="1" applyProtection="1">
      <protection locked="0"/>
    </xf>
    <xf numFmtId="0" fontId="3" fillId="0" borderId="7" xfId="1" applyFont="1" applyBorder="1" applyProtection="1">
      <protection locked="0"/>
    </xf>
    <xf numFmtId="2" fontId="3" fillId="0" borderId="5" xfId="1" applyNumberFormat="1" applyFont="1" applyBorder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6" xfId="1" applyFont="1" applyBorder="1" applyProtection="1">
      <protection locked="0"/>
    </xf>
    <xf numFmtId="166" fontId="3" fillId="0" borderId="0" xfId="2" applyNumberFormat="1" applyFont="1" applyAlignment="1" applyProtection="1">
      <alignment horizontal="center"/>
      <protection locked="0"/>
    </xf>
    <xf numFmtId="166" fontId="3" fillId="0" borderId="0" xfId="2" applyNumberFormat="1" applyFont="1" applyProtection="1">
      <protection locked="0"/>
    </xf>
    <xf numFmtId="0" fontId="3" fillId="0" borderId="7" xfId="1" applyFont="1" applyBorder="1" applyAlignment="1" applyProtection="1">
      <alignment horizontal="right"/>
      <protection locked="0"/>
    </xf>
    <xf numFmtId="164" fontId="3" fillId="0" borderId="0" xfId="1" applyNumberFormat="1" applyFont="1" applyProtection="1">
      <protection locked="0"/>
    </xf>
    <xf numFmtId="167" fontId="3" fillId="0" borderId="0" xfId="1" applyNumberFormat="1" applyFont="1" applyProtection="1"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0" fontId="3" fillId="0" borderId="6" xfId="1" applyFont="1" applyBorder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/>
      <protection locked="0"/>
    </xf>
    <xf numFmtId="165" fontId="3" fillId="0" borderId="0" xfId="2" applyNumberFormat="1" applyFont="1" applyProtection="1">
      <protection locked="0"/>
    </xf>
    <xf numFmtId="0" fontId="3" fillId="0" borderId="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2" fillId="0" borderId="0" xfId="1" applyFont="1" applyProtection="1">
      <protection locked="0"/>
    </xf>
    <xf numFmtId="166" fontId="3" fillId="0" borderId="0" xfId="1" applyNumberFormat="1" applyFont="1" applyProtection="1">
      <protection locked="0"/>
    </xf>
    <xf numFmtId="166" fontId="3" fillId="0" borderId="0" xfId="1" applyNumberFormat="1" applyFont="1" applyAlignment="1" applyProtection="1">
      <alignment horizontal="center"/>
      <protection locked="0"/>
    </xf>
    <xf numFmtId="2" fontId="3" fillId="0" borderId="0" xfId="1" applyNumberFormat="1" applyFo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/>
    <xf numFmtId="165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164" fontId="7" fillId="0" borderId="0" xfId="0" applyNumberFormat="1" applyFont="1"/>
    <xf numFmtId="165" fontId="7" fillId="0" borderId="0" xfId="0" applyNumberFormat="1" applyFont="1"/>
    <xf numFmtId="164" fontId="3" fillId="0" borderId="9" xfId="1" applyNumberFormat="1" applyFont="1" applyBorder="1" applyProtection="1">
      <protection locked="0"/>
    </xf>
    <xf numFmtId="166" fontId="7" fillId="0" borderId="0" xfId="0" applyNumberFormat="1" applyFont="1"/>
    <xf numFmtId="0" fontId="0" fillId="0" borderId="0" xfId="0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3">
    <cellStyle name="Normalny" xfId="0" builtinId="0"/>
    <cellStyle name="Standaard 5" xfId="2"/>
    <cellStyle name="Обычный_test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Q9"/>
  <sheetViews>
    <sheetView showGridLines="0" showRowColHeaders="0" tabSelected="1" workbookViewId="0">
      <selection activeCell="D2" sqref="D2:E2"/>
    </sheetView>
  </sheetViews>
  <sheetFormatPr defaultRowHeight="15" x14ac:dyDescent="0.25"/>
  <cols>
    <col min="1" max="1" width="2.85546875" customWidth="1"/>
    <col min="3" max="3" width="16.28515625" customWidth="1"/>
    <col min="4" max="4" width="16" customWidth="1"/>
    <col min="5" max="5" width="11.7109375" customWidth="1"/>
    <col min="8" max="8" width="13.5703125" customWidth="1"/>
    <col min="9" max="10" width="11.140625" customWidth="1"/>
    <col min="11" max="11" width="10.42578125" customWidth="1"/>
    <col min="15" max="15" width="14.140625" customWidth="1"/>
    <col min="16" max="16" width="13" customWidth="1"/>
  </cols>
  <sheetData>
    <row r="1" spans="2:17" ht="20.25" customHeight="1" x14ac:dyDescent="0.25"/>
    <row r="2" spans="2:17" ht="17.25" customHeight="1" x14ac:dyDescent="0.25">
      <c r="B2" s="47" t="s">
        <v>37</v>
      </c>
      <c r="C2" s="47"/>
      <c r="D2" s="48" t="s">
        <v>21</v>
      </c>
      <c r="E2" s="49"/>
    </row>
    <row r="3" spans="2:17" ht="17.25" customHeight="1" x14ac:dyDescent="0.25">
      <c r="B3" s="37"/>
      <c r="C3" s="37"/>
      <c r="D3" s="39"/>
      <c r="E3" s="39"/>
    </row>
    <row r="4" spans="2:17" ht="18.75" x14ac:dyDescent="0.3">
      <c r="B4" s="47" t="s">
        <v>28</v>
      </c>
      <c r="C4" s="47"/>
      <c r="D4" s="42"/>
      <c r="E4" t="s">
        <v>32</v>
      </c>
      <c r="F4" s="47" t="s">
        <v>29</v>
      </c>
      <c r="G4" s="47"/>
      <c r="H4" s="47"/>
      <c r="I4" s="47"/>
      <c r="J4" s="41"/>
      <c r="K4" t="s">
        <v>33</v>
      </c>
      <c r="L4" s="47" t="str">
        <f>"Special Gravity dla tej Gestości w "&amp;J4&amp;" °C  = "</f>
        <v xml:space="preserve">Special Gravity dla tej Gestości w  °C  = </v>
      </c>
      <c r="M4" s="47"/>
      <c r="N4" s="47"/>
      <c r="O4" s="47"/>
      <c r="P4" s="46">
        <f>D4*1000</f>
        <v>0</v>
      </c>
      <c r="Q4" t="s">
        <v>31</v>
      </c>
    </row>
    <row r="5" spans="2:17" ht="18.75" x14ac:dyDescent="0.3">
      <c r="C5" s="37" t="str">
        <f>"cbm @ "&amp;J4&amp;" °C : "</f>
        <v xml:space="preserve">cbm @  °C : </v>
      </c>
      <c r="D5" s="41"/>
      <c r="G5" s="38" t="str">
        <f>"tons @ 15 °C : "</f>
        <v xml:space="preserve">tons @ 15 °C : </v>
      </c>
      <c r="H5" s="44" t="str">
        <f>IFERROR(D5*IF(D2="Table 54A",ASTM!L4,IF(D2="Table 54B",ASTM!L5,IF(D2="Table 54C",ASTM!L6,""))),"")</f>
        <v/>
      </c>
    </row>
    <row r="6" spans="2:17" ht="18.75" x14ac:dyDescent="0.3">
      <c r="D6" s="40"/>
    </row>
    <row r="7" spans="2:17" ht="18.75" x14ac:dyDescent="0.3">
      <c r="B7" s="47" t="s">
        <v>30</v>
      </c>
      <c r="C7" s="47"/>
      <c r="D7" s="43" t="str">
        <f>IFERROR(ASTM!K1,"")</f>
        <v/>
      </c>
      <c r="F7" s="47" t="str">
        <f>"Special Gravity dla tej Gestości w 15 °C  = "</f>
        <v xml:space="preserve">Special Gravity dla tej Gestości w 15 °C  = </v>
      </c>
      <c r="G7" s="47"/>
      <c r="H7" s="47"/>
      <c r="I7" s="47"/>
      <c r="J7" s="46" t="str">
        <f>IFERROR(D7*1000,"")</f>
        <v/>
      </c>
    </row>
    <row r="8" spans="2:17" ht="18.75" x14ac:dyDescent="0.3">
      <c r="C8" s="38" t="s">
        <v>34</v>
      </c>
      <c r="D8" s="44" t="str">
        <f>H5</f>
        <v/>
      </c>
      <c r="G8" s="37" t="s">
        <v>35</v>
      </c>
      <c r="H8" s="44" t="str">
        <f>IFERROR(D8/D7,"")</f>
        <v/>
      </c>
    </row>
    <row r="9" spans="2:17" ht="18.75" x14ac:dyDescent="0.3">
      <c r="G9" s="37" t="str">
        <f>"Condition test     -       cbm @ "&amp;J4&amp;" °C : "</f>
        <v xml:space="preserve">Condition test     -       cbm @  °C : </v>
      </c>
      <c r="H9" s="44" t="str">
        <f>IFERROR(IF(D2="Table 54A",ASTM!M4,IF(D2="Table 54B",ASTM!M5,IF(D2="Table 54C",ASTM!M6,""))),"")</f>
        <v/>
      </c>
    </row>
  </sheetData>
  <sheetProtection password="BD3D" sheet="1" objects="1" scenarios="1" selectLockedCells="1"/>
  <mergeCells count="7">
    <mergeCell ref="L4:O4"/>
    <mergeCell ref="B2:C2"/>
    <mergeCell ref="D2:E2"/>
    <mergeCell ref="B4:C4"/>
    <mergeCell ref="B7:C7"/>
    <mergeCell ref="F4:I4"/>
    <mergeCell ref="F7:I7"/>
  </mergeCells>
  <conditionalFormatting sqref="D4 J4">
    <cfRule type="containsBlanks" dxfId="1" priority="2">
      <formula>LEN(TRIM(D4))=0</formula>
    </cfRule>
  </conditionalFormatting>
  <conditionalFormatting sqref="D5">
    <cfRule type="containsBlanks" dxfId="0" priority="1">
      <formula>LEN(TRIM(D5))=0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ASTM!$N$2:$N$4</xm:f>
          </x14:formula1>
          <xm:sqref>D2:E3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2"/>
  <dimension ref="A1:R58"/>
  <sheetViews>
    <sheetView workbookViewId="0">
      <selection activeCell="J2" sqref="J2"/>
    </sheetView>
  </sheetViews>
  <sheetFormatPr defaultRowHeight="12.75" x14ac:dyDescent="0.2"/>
  <cols>
    <col min="1" max="1" width="12" style="10" customWidth="1"/>
    <col min="2" max="2" width="10.7109375" style="10" customWidth="1"/>
    <col min="3" max="3" width="13" style="10" customWidth="1"/>
    <col min="4" max="6" width="8" style="10" customWidth="1"/>
    <col min="7" max="7" width="11.140625" style="10" customWidth="1"/>
    <col min="8" max="8" width="8" style="10" customWidth="1"/>
    <col min="9" max="9" width="11" style="10" customWidth="1"/>
    <col min="10" max="10" width="12.7109375" style="10" customWidth="1"/>
    <col min="11" max="11" width="15" style="10" customWidth="1"/>
    <col min="12" max="12" width="13.140625" style="10" customWidth="1"/>
    <col min="13" max="13" width="17" style="10" customWidth="1"/>
    <col min="14" max="14" width="17.42578125" style="10" customWidth="1"/>
    <col min="15" max="22" width="10.28515625" style="10" customWidth="1"/>
    <col min="23" max="257" width="8" style="10" customWidth="1"/>
    <col min="258" max="258" width="10.7109375" style="10" customWidth="1"/>
    <col min="259" max="513" width="8" style="10" customWidth="1"/>
    <col min="514" max="514" width="10.7109375" style="10" customWidth="1"/>
    <col min="515" max="769" width="8" style="10" customWidth="1"/>
    <col min="770" max="770" width="10.7109375" style="10" customWidth="1"/>
    <col min="771" max="1025" width="8" style="10" customWidth="1"/>
    <col min="1026" max="1026" width="10.7109375" style="10" customWidth="1"/>
    <col min="1027" max="1281" width="8" style="10" customWidth="1"/>
    <col min="1282" max="1282" width="10.7109375" style="10" customWidth="1"/>
    <col min="1283" max="1537" width="8" style="10" customWidth="1"/>
    <col min="1538" max="1538" width="10.7109375" style="10" customWidth="1"/>
    <col min="1539" max="1793" width="8" style="10" customWidth="1"/>
    <col min="1794" max="1794" width="10.7109375" style="10" customWidth="1"/>
    <col min="1795" max="2049" width="8" style="10" customWidth="1"/>
    <col min="2050" max="2050" width="10.7109375" style="10" customWidth="1"/>
    <col min="2051" max="2305" width="8" style="10" customWidth="1"/>
    <col min="2306" max="2306" width="10.7109375" style="10" customWidth="1"/>
    <col min="2307" max="2561" width="8" style="10" customWidth="1"/>
    <col min="2562" max="2562" width="10.7109375" style="10" customWidth="1"/>
    <col min="2563" max="2817" width="8" style="10" customWidth="1"/>
    <col min="2818" max="2818" width="10.7109375" style="10" customWidth="1"/>
    <col min="2819" max="3073" width="8" style="10" customWidth="1"/>
    <col min="3074" max="3074" width="10.7109375" style="10" customWidth="1"/>
    <col min="3075" max="3329" width="8" style="10" customWidth="1"/>
    <col min="3330" max="3330" width="10.7109375" style="10" customWidth="1"/>
    <col min="3331" max="3585" width="8" style="10" customWidth="1"/>
    <col min="3586" max="3586" width="10.7109375" style="10" customWidth="1"/>
    <col min="3587" max="3841" width="8" style="10" customWidth="1"/>
    <col min="3842" max="3842" width="10.7109375" style="10" customWidth="1"/>
    <col min="3843" max="4097" width="8" style="10" customWidth="1"/>
    <col min="4098" max="4098" width="10.7109375" style="10" customWidth="1"/>
    <col min="4099" max="4353" width="8" style="10" customWidth="1"/>
    <col min="4354" max="4354" width="10.7109375" style="10" customWidth="1"/>
    <col min="4355" max="4609" width="8" style="10" customWidth="1"/>
    <col min="4610" max="4610" width="10.7109375" style="10" customWidth="1"/>
    <col min="4611" max="4865" width="8" style="10" customWidth="1"/>
    <col min="4866" max="4866" width="10.7109375" style="10" customWidth="1"/>
    <col min="4867" max="5121" width="8" style="10" customWidth="1"/>
    <col min="5122" max="5122" width="10.7109375" style="10" customWidth="1"/>
    <col min="5123" max="5377" width="8" style="10" customWidth="1"/>
    <col min="5378" max="5378" width="10.7109375" style="10" customWidth="1"/>
    <col min="5379" max="5633" width="8" style="10" customWidth="1"/>
    <col min="5634" max="5634" width="10.7109375" style="10" customWidth="1"/>
    <col min="5635" max="5889" width="8" style="10" customWidth="1"/>
    <col min="5890" max="5890" width="10.7109375" style="10" customWidth="1"/>
    <col min="5891" max="6145" width="8" style="10" customWidth="1"/>
    <col min="6146" max="6146" width="10.7109375" style="10" customWidth="1"/>
    <col min="6147" max="6401" width="8" style="10" customWidth="1"/>
    <col min="6402" max="6402" width="10.7109375" style="10" customWidth="1"/>
    <col min="6403" max="6657" width="8" style="10" customWidth="1"/>
    <col min="6658" max="6658" width="10.7109375" style="10" customWidth="1"/>
    <col min="6659" max="6913" width="8" style="10" customWidth="1"/>
    <col min="6914" max="6914" width="10.7109375" style="10" customWidth="1"/>
    <col min="6915" max="7169" width="8" style="10" customWidth="1"/>
    <col min="7170" max="7170" width="10.7109375" style="10" customWidth="1"/>
    <col min="7171" max="7425" width="8" style="10" customWidth="1"/>
    <col min="7426" max="7426" width="10.7109375" style="10" customWidth="1"/>
    <col min="7427" max="7681" width="8" style="10" customWidth="1"/>
    <col min="7682" max="7682" width="10.7109375" style="10" customWidth="1"/>
    <col min="7683" max="7937" width="8" style="10" customWidth="1"/>
    <col min="7938" max="7938" width="10.7109375" style="10" customWidth="1"/>
    <col min="7939" max="8193" width="8" style="10" customWidth="1"/>
    <col min="8194" max="8194" width="10.7109375" style="10" customWidth="1"/>
    <col min="8195" max="8449" width="8" style="10" customWidth="1"/>
    <col min="8450" max="8450" width="10.7109375" style="10" customWidth="1"/>
    <col min="8451" max="8705" width="8" style="10" customWidth="1"/>
    <col min="8706" max="8706" width="10.7109375" style="10" customWidth="1"/>
    <col min="8707" max="8961" width="8" style="10" customWidth="1"/>
    <col min="8962" max="8962" width="10.7109375" style="10" customWidth="1"/>
    <col min="8963" max="9217" width="8" style="10" customWidth="1"/>
    <col min="9218" max="9218" width="10.7109375" style="10" customWidth="1"/>
    <col min="9219" max="9473" width="8" style="10" customWidth="1"/>
    <col min="9474" max="9474" width="10.7109375" style="10" customWidth="1"/>
    <col min="9475" max="9729" width="8" style="10" customWidth="1"/>
    <col min="9730" max="9730" width="10.7109375" style="10" customWidth="1"/>
    <col min="9731" max="9985" width="8" style="10" customWidth="1"/>
    <col min="9986" max="9986" width="10.7109375" style="10" customWidth="1"/>
    <col min="9987" max="10241" width="8" style="10" customWidth="1"/>
    <col min="10242" max="10242" width="10.7109375" style="10" customWidth="1"/>
    <col min="10243" max="10497" width="8" style="10" customWidth="1"/>
    <col min="10498" max="10498" width="10.7109375" style="10" customWidth="1"/>
    <col min="10499" max="10753" width="8" style="10" customWidth="1"/>
    <col min="10754" max="10754" width="10.7109375" style="10" customWidth="1"/>
    <col min="10755" max="11009" width="8" style="10" customWidth="1"/>
    <col min="11010" max="11010" width="10.7109375" style="10" customWidth="1"/>
    <col min="11011" max="11265" width="8" style="10" customWidth="1"/>
    <col min="11266" max="11266" width="10.7109375" style="10" customWidth="1"/>
    <col min="11267" max="11521" width="8" style="10" customWidth="1"/>
    <col min="11522" max="11522" width="10.7109375" style="10" customWidth="1"/>
    <col min="11523" max="11777" width="8" style="10" customWidth="1"/>
    <col min="11778" max="11778" width="10.7109375" style="10" customWidth="1"/>
    <col min="11779" max="12033" width="8" style="10" customWidth="1"/>
    <col min="12034" max="12034" width="10.7109375" style="10" customWidth="1"/>
    <col min="12035" max="12289" width="8" style="10" customWidth="1"/>
    <col min="12290" max="12290" width="10.7109375" style="10" customWidth="1"/>
    <col min="12291" max="12545" width="8" style="10" customWidth="1"/>
    <col min="12546" max="12546" width="10.7109375" style="10" customWidth="1"/>
    <col min="12547" max="12801" width="8" style="10" customWidth="1"/>
    <col min="12802" max="12802" width="10.7109375" style="10" customWidth="1"/>
    <col min="12803" max="13057" width="8" style="10" customWidth="1"/>
    <col min="13058" max="13058" width="10.7109375" style="10" customWidth="1"/>
    <col min="13059" max="13313" width="8" style="10" customWidth="1"/>
    <col min="13314" max="13314" width="10.7109375" style="10" customWidth="1"/>
    <col min="13315" max="13569" width="8" style="10" customWidth="1"/>
    <col min="13570" max="13570" width="10.7109375" style="10" customWidth="1"/>
    <col min="13571" max="13825" width="8" style="10" customWidth="1"/>
    <col min="13826" max="13826" width="10.7109375" style="10" customWidth="1"/>
    <col min="13827" max="14081" width="8" style="10" customWidth="1"/>
    <col min="14082" max="14082" width="10.7109375" style="10" customWidth="1"/>
    <col min="14083" max="14337" width="8" style="10" customWidth="1"/>
    <col min="14338" max="14338" width="10.7109375" style="10" customWidth="1"/>
    <col min="14339" max="14593" width="8" style="10" customWidth="1"/>
    <col min="14594" max="14594" width="10.7109375" style="10" customWidth="1"/>
    <col min="14595" max="14849" width="8" style="10" customWidth="1"/>
    <col min="14850" max="14850" width="10.7109375" style="10" customWidth="1"/>
    <col min="14851" max="15105" width="8" style="10" customWidth="1"/>
    <col min="15106" max="15106" width="10.7109375" style="10" customWidth="1"/>
    <col min="15107" max="15361" width="8" style="10" customWidth="1"/>
    <col min="15362" max="15362" width="10.7109375" style="10" customWidth="1"/>
    <col min="15363" max="15617" width="8" style="10" customWidth="1"/>
    <col min="15618" max="15618" width="10.7109375" style="10" customWidth="1"/>
    <col min="15619" max="15873" width="8" style="10" customWidth="1"/>
    <col min="15874" max="15874" width="10.7109375" style="10" customWidth="1"/>
    <col min="15875" max="16129" width="8" style="10" customWidth="1"/>
    <col min="16130" max="16130" width="10.7109375" style="10" customWidth="1"/>
    <col min="16131" max="16384" width="8" style="10" customWidth="1"/>
  </cols>
  <sheetData>
    <row r="1" spans="1:18" s="5" customFormat="1" ht="26.25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16" t="e">
        <f>C2/IF(Arkusz1!D2="Table 54A",C4,IF(Arkusz1!D2="Table 54B",C5,IF(Arkusz1!D2="Table 54C",C6,"")))</f>
        <v>#VALUE!</v>
      </c>
      <c r="L1" s="6"/>
      <c r="M1" s="6"/>
      <c r="N1" s="6"/>
    </row>
    <row r="2" spans="1:18" s="5" customFormat="1" x14ac:dyDescent="0.2">
      <c r="A2" s="7"/>
      <c r="B2" s="8" t="s">
        <v>1</v>
      </c>
      <c r="C2" s="9" t="str">
        <f>K2</f>
        <v/>
      </c>
      <c r="D2" s="10"/>
      <c r="E2" s="11" t="s">
        <v>2</v>
      </c>
      <c r="F2" s="8"/>
      <c r="G2" s="11" t="s">
        <v>3</v>
      </c>
      <c r="H2" s="12"/>
      <c r="I2" s="13" t="s">
        <v>4</v>
      </c>
      <c r="J2" s="14" t="str">
        <f>IF(Arkusz1!D8&lt;&gt;"",Arkusz1!D8,"")</f>
        <v/>
      </c>
      <c r="K2" s="9" t="str">
        <f>IF(Arkusz1!D4&lt;&gt;"",Arkusz1!D4,"")</f>
        <v/>
      </c>
      <c r="L2" s="15"/>
      <c r="M2" s="15"/>
      <c r="N2" s="6" t="s">
        <v>14</v>
      </c>
      <c r="O2" s="16"/>
      <c r="P2" s="16"/>
      <c r="Q2" s="16"/>
      <c r="R2" s="16"/>
    </row>
    <row r="3" spans="1:18" s="5" customFormat="1" x14ac:dyDescent="0.2">
      <c r="A3" s="17"/>
      <c r="B3" s="13" t="s">
        <v>5</v>
      </c>
      <c r="C3" s="18">
        <f>IF(Arkusz1!J4&lt;&gt;"",Arkusz1!J4,15)</f>
        <v>15</v>
      </c>
      <c r="D3" s="10"/>
      <c r="E3" s="19" t="s">
        <v>6</v>
      </c>
      <c r="F3" s="10"/>
      <c r="G3" s="19" t="s">
        <v>7</v>
      </c>
      <c r="H3" s="10"/>
      <c r="I3" s="10" t="s">
        <v>8</v>
      </c>
      <c r="J3" s="20"/>
      <c r="K3" s="18">
        <f>IF(Arkusz1!J4&lt;&gt;"",Arkusz1!J4,15)</f>
        <v>15</v>
      </c>
      <c r="L3" s="21"/>
      <c r="M3" s="21"/>
      <c r="N3" s="6" t="s">
        <v>21</v>
      </c>
      <c r="O3" s="22"/>
      <c r="P3" s="22"/>
      <c r="Q3" s="22"/>
      <c r="R3" s="22"/>
    </row>
    <row r="4" spans="1:18" s="5" customFormat="1" x14ac:dyDescent="0.2">
      <c r="A4" s="23" t="s">
        <v>9</v>
      </c>
      <c r="B4" s="10" t="s">
        <v>10</v>
      </c>
      <c r="C4" s="24" t="e">
        <f>F22</f>
        <v>#VALUE!</v>
      </c>
      <c r="D4" s="10"/>
      <c r="E4" s="24" t="e">
        <f>$C$2*C4</f>
        <v>#VALUE!</v>
      </c>
      <c r="F4" s="10"/>
      <c r="G4" s="25" t="e">
        <f>(E4-$C$2)/(15-$C$3)</f>
        <v>#VALUE!</v>
      </c>
      <c r="H4" s="13"/>
      <c r="I4" s="26" t="e">
        <f>$J$2/E4</f>
        <v>#VALUE!</v>
      </c>
      <c r="J4" s="27"/>
      <c r="K4" s="24" t="e">
        <f>M22</f>
        <v>#VALUE!</v>
      </c>
      <c r="L4" s="15" t="e">
        <f>$K$1*K4</f>
        <v>#VALUE!</v>
      </c>
      <c r="M4" s="28" t="e">
        <f>$J$2/L4</f>
        <v>#VALUE!</v>
      </c>
      <c r="N4" s="6" t="s">
        <v>36</v>
      </c>
      <c r="O4" s="29"/>
      <c r="P4" s="29"/>
      <c r="Q4" s="29"/>
      <c r="R4" s="29"/>
    </row>
    <row r="5" spans="1:18" s="5" customFormat="1" x14ac:dyDescent="0.2">
      <c r="A5" s="17"/>
      <c r="B5" s="10" t="s">
        <v>11</v>
      </c>
      <c r="C5" s="24" t="e">
        <f>IF(C2&lt;0.77,F30,IF(C2&lt;0.778,F34,IF(C2&lt;0.839,F37,F41)))</f>
        <v>#VALUE!</v>
      </c>
      <c r="D5" s="10"/>
      <c r="E5" s="24" t="e">
        <f>$C$2*C5</f>
        <v>#VALUE!</v>
      </c>
      <c r="F5" s="10"/>
      <c r="G5" s="25" t="e">
        <f>(E5-$C$2)/(15-$C$3)</f>
        <v>#VALUE!</v>
      </c>
      <c r="H5" s="13"/>
      <c r="I5" s="26" t="e">
        <f>$J$2/E5</f>
        <v>#VALUE!</v>
      </c>
      <c r="J5" s="27"/>
      <c r="K5" s="24" t="e">
        <f>IF(K1&lt;0.77,M30,IF(K1&lt;0.778,M34,IF(K1&lt;0.839,M37,M41)))</f>
        <v>#VALUE!</v>
      </c>
      <c r="L5" s="15" t="e">
        <f t="shared" ref="L5:L6" si="0">$K$1*K5</f>
        <v>#VALUE!</v>
      </c>
      <c r="M5" s="28" t="e">
        <f t="shared" ref="M5:M6" si="1">$J$2/L5</f>
        <v>#VALUE!</v>
      </c>
      <c r="N5" s="28"/>
      <c r="O5" s="29"/>
      <c r="P5" s="29"/>
      <c r="Q5" s="29"/>
      <c r="R5" s="29"/>
    </row>
    <row r="6" spans="1:18" s="5" customFormat="1" x14ac:dyDescent="0.2">
      <c r="A6" s="17"/>
      <c r="B6" s="10" t="s">
        <v>12</v>
      </c>
      <c r="C6" s="24" t="e">
        <f>F26</f>
        <v>#VALUE!</v>
      </c>
      <c r="D6" s="10"/>
      <c r="E6" s="24" t="e">
        <f>$C$2*C6</f>
        <v>#VALUE!</v>
      </c>
      <c r="F6" s="10"/>
      <c r="G6" s="25" t="e">
        <f>(E6-$C$2)/(15-$C$3)</f>
        <v>#VALUE!</v>
      </c>
      <c r="H6" s="13"/>
      <c r="I6" s="26" t="e">
        <f>$J$2/E6</f>
        <v>#VALUE!</v>
      </c>
      <c r="J6" s="20"/>
      <c r="K6" s="24" t="e">
        <f>M26</f>
        <v>#VALUE!</v>
      </c>
      <c r="L6" s="15" t="e">
        <f t="shared" si="0"/>
        <v>#VALUE!</v>
      </c>
      <c r="M6" s="28" t="e">
        <f t="shared" si="1"/>
        <v>#VALUE!</v>
      </c>
      <c r="N6" s="28"/>
      <c r="O6" s="29"/>
      <c r="P6" s="29"/>
      <c r="Q6" s="29"/>
      <c r="R6" s="29"/>
    </row>
    <row r="7" spans="1:18" s="5" customFormat="1" x14ac:dyDescent="0.2">
      <c r="A7" s="17"/>
      <c r="B7" s="10"/>
      <c r="C7" s="24"/>
      <c r="D7" s="10"/>
      <c r="E7" s="10"/>
      <c r="F7" s="10"/>
      <c r="G7" s="10"/>
      <c r="H7" s="10"/>
      <c r="I7" s="10"/>
      <c r="J7" s="20"/>
      <c r="L7" s="28"/>
      <c r="M7" s="28"/>
      <c r="N7" s="28"/>
      <c r="O7" s="29"/>
      <c r="P7" s="29"/>
      <c r="Q7" s="29"/>
      <c r="R7" s="29"/>
    </row>
    <row r="8" spans="1:18" s="5" customFormat="1" x14ac:dyDescent="0.2">
      <c r="A8" s="30"/>
      <c r="B8" s="31"/>
      <c r="C8" s="45"/>
      <c r="D8" s="31"/>
      <c r="E8" s="31"/>
      <c r="F8" s="31"/>
      <c r="G8" s="31"/>
      <c r="H8" s="31"/>
      <c r="I8" s="31"/>
      <c r="J8" s="32"/>
      <c r="L8" s="15"/>
      <c r="M8" s="15"/>
      <c r="N8" s="15"/>
      <c r="O8" s="16"/>
      <c r="P8" s="16"/>
      <c r="Q8" s="16"/>
      <c r="R8" s="16"/>
    </row>
    <row r="9" spans="1:18" s="5" customForma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L9" s="15"/>
      <c r="M9" s="15"/>
      <c r="N9" s="15"/>
      <c r="O9" s="16"/>
      <c r="P9" s="16"/>
      <c r="Q9" s="16"/>
      <c r="R9" s="16"/>
    </row>
    <row r="10" spans="1:18" s="5" customFormat="1" ht="15" customHeight="1" x14ac:dyDescent="0.4">
      <c r="A10" s="33"/>
      <c r="B10" s="33"/>
      <c r="C10" s="10"/>
      <c r="D10" s="34"/>
      <c r="E10" s="34"/>
      <c r="F10" s="24"/>
      <c r="G10" s="34"/>
      <c r="H10" s="10"/>
      <c r="I10" s="10"/>
      <c r="J10" s="10"/>
      <c r="L10" s="15"/>
      <c r="M10" s="15"/>
      <c r="N10" s="15"/>
      <c r="O10" s="16"/>
      <c r="P10" s="16"/>
      <c r="Q10" s="16"/>
      <c r="R10" s="16"/>
    </row>
    <row r="11" spans="1:18" s="5" customFormat="1" ht="15.75" customHeight="1" x14ac:dyDescent="0.4">
      <c r="A11" s="33"/>
      <c r="B11" s="33"/>
      <c r="C11" s="10"/>
      <c r="D11" s="34"/>
      <c r="E11" s="34"/>
      <c r="F11" s="10"/>
      <c r="G11" s="34"/>
      <c r="H11" s="34"/>
      <c r="I11" s="34"/>
      <c r="J11" s="34"/>
      <c r="L11" s="15"/>
      <c r="M11" s="15"/>
      <c r="N11" s="15"/>
      <c r="O11" s="16"/>
      <c r="P11" s="16"/>
      <c r="Q11" s="16"/>
      <c r="R11" s="16"/>
    </row>
    <row r="12" spans="1:18" s="5" customFormat="1" x14ac:dyDescent="0.2">
      <c r="A12" s="10"/>
      <c r="B12" s="13" t="s">
        <v>1</v>
      </c>
      <c r="C12" s="35" t="str">
        <f>IF(C2&lt;0.5,"Dens. &lt; 0,5",IF(C2&gt;1,"Dens. &gt; 1",C2*1000))</f>
        <v>Dens. &gt; 1</v>
      </c>
      <c r="D12" s="10"/>
      <c r="E12" s="34"/>
      <c r="F12" s="24"/>
      <c r="G12" s="34"/>
      <c r="H12" s="10"/>
      <c r="I12" s="13" t="s">
        <v>1</v>
      </c>
      <c r="J12" s="35" t="e">
        <f>IF(K1&lt;0.5,"Dens. &lt; 0,5",IF(K1&gt;1,"Dens. &gt; 1",K1*1000))</f>
        <v>#VALUE!</v>
      </c>
      <c r="K12" s="10"/>
      <c r="L12" s="34"/>
      <c r="M12" s="24"/>
      <c r="N12" s="15"/>
      <c r="O12" s="16"/>
      <c r="P12" s="16"/>
      <c r="Q12" s="16"/>
      <c r="R12" s="16"/>
    </row>
    <row r="13" spans="1:18" s="5" customFormat="1" x14ac:dyDescent="0.2">
      <c r="A13" s="10"/>
      <c r="B13" s="13" t="s">
        <v>5</v>
      </c>
      <c r="C13" s="35">
        <f>C3</f>
        <v>15</v>
      </c>
      <c r="D13" s="10"/>
      <c r="E13" s="34"/>
      <c r="F13" s="24"/>
      <c r="G13" s="34"/>
      <c r="H13" s="10"/>
      <c r="I13" s="13" t="s">
        <v>5</v>
      </c>
      <c r="J13" s="35">
        <f>C13</f>
        <v>15</v>
      </c>
      <c r="K13" s="10"/>
      <c r="L13" s="34"/>
      <c r="M13" s="24"/>
      <c r="N13" s="15"/>
      <c r="O13" s="16"/>
      <c r="P13" s="16"/>
      <c r="Q13" s="16"/>
      <c r="R13" s="16"/>
    </row>
    <row r="14" spans="1:18" s="5" customFormat="1" x14ac:dyDescent="0.2">
      <c r="A14" s="10"/>
      <c r="B14" s="13" t="s">
        <v>13</v>
      </c>
      <c r="C14" s="35">
        <f>C13-15</f>
        <v>0</v>
      </c>
      <c r="D14" s="34"/>
      <c r="E14" s="34"/>
      <c r="F14" s="10"/>
      <c r="G14" s="34"/>
      <c r="H14" s="10"/>
      <c r="I14" s="13" t="s">
        <v>13</v>
      </c>
      <c r="J14" s="35">
        <f>J13-15</f>
        <v>0</v>
      </c>
      <c r="K14" s="34"/>
      <c r="L14" s="34"/>
      <c r="M14" s="10"/>
    </row>
    <row r="15" spans="1:18" s="5" customFormat="1" ht="3.75" customHeight="1" x14ac:dyDescent="0.2">
      <c r="A15" s="10"/>
      <c r="B15" s="13"/>
      <c r="C15" s="10"/>
      <c r="D15" s="34"/>
      <c r="E15" s="34"/>
      <c r="F15" s="24"/>
      <c r="G15" s="34"/>
      <c r="H15" s="10"/>
      <c r="I15" s="13"/>
      <c r="J15" s="10"/>
      <c r="K15" s="34"/>
      <c r="L15" s="34"/>
      <c r="M15" s="24"/>
    </row>
    <row r="16" spans="1:18" s="5" customFormat="1" ht="3.75" customHeight="1" x14ac:dyDescent="0.2">
      <c r="A16" s="10"/>
      <c r="B16" s="13"/>
      <c r="C16" s="10"/>
      <c r="D16" s="10"/>
      <c r="E16" s="34"/>
      <c r="F16" s="24"/>
      <c r="G16" s="34"/>
      <c r="H16" s="10"/>
      <c r="I16" s="13"/>
      <c r="J16" s="10"/>
      <c r="K16" s="10"/>
      <c r="L16" s="34"/>
      <c r="M16" s="24"/>
    </row>
    <row r="17" spans="1:18" s="5" customFormat="1" ht="3.75" customHeight="1" x14ac:dyDescent="0.2">
      <c r="A17" s="10"/>
      <c r="B17" s="13"/>
      <c r="C17" s="10"/>
      <c r="D17" s="34"/>
      <c r="E17" s="34"/>
      <c r="F17" s="24"/>
      <c r="G17" s="34"/>
      <c r="H17" s="10"/>
      <c r="I17" s="13"/>
      <c r="J17" s="10"/>
      <c r="K17" s="34"/>
      <c r="L17" s="34"/>
      <c r="M17" s="24"/>
      <c r="N17" s="16"/>
      <c r="O17" s="16"/>
      <c r="P17" s="16"/>
      <c r="Q17" s="16"/>
      <c r="R17" s="16"/>
    </row>
    <row r="18" spans="1:18" s="5" customFormat="1" ht="3.75" customHeight="1" x14ac:dyDescent="0.2">
      <c r="A18" s="10"/>
      <c r="B18" s="13"/>
      <c r="C18" s="10"/>
      <c r="D18" s="36"/>
      <c r="H18" s="10"/>
      <c r="I18" s="13"/>
      <c r="J18" s="10"/>
      <c r="K18" s="36"/>
      <c r="N18" s="22"/>
      <c r="O18" s="22"/>
      <c r="P18" s="22"/>
      <c r="Q18" s="22"/>
      <c r="R18" s="22"/>
    </row>
    <row r="19" spans="1:18" s="5" customFormat="1" ht="3.75" customHeight="1" x14ac:dyDescent="0.2">
      <c r="A19" s="10"/>
      <c r="B19" s="10"/>
      <c r="C19" s="10"/>
      <c r="D19" s="36"/>
      <c r="H19" s="10"/>
      <c r="I19" s="10"/>
      <c r="J19" s="10"/>
      <c r="K19" s="36"/>
      <c r="N19" s="29"/>
      <c r="O19" s="29"/>
      <c r="P19" s="29"/>
      <c r="Q19" s="29"/>
      <c r="R19" s="29"/>
    </row>
    <row r="20" spans="1:18" ht="3.75" customHeight="1" x14ac:dyDescent="0.2">
      <c r="N20" s="29"/>
      <c r="O20" s="29"/>
      <c r="P20" s="29"/>
      <c r="Q20" s="29"/>
      <c r="R20" s="29"/>
    </row>
    <row r="21" spans="1:18" s="5" customFormat="1" x14ac:dyDescent="0.2">
      <c r="A21" s="10" t="s">
        <v>14</v>
      </c>
      <c r="B21" s="10"/>
      <c r="C21" s="10"/>
      <c r="D21" s="10"/>
      <c r="E21" s="10"/>
      <c r="F21" s="10"/>
      <c r="G21" s="10"/>
      <c r="H21" s="10" t="s">
        <v>14</v>
      </c>
      <c r="I21" s="10"/>
      <c r="J21" s="10"/>
      <c r="K21" s="10"/>
      <c r="L21" s="10"/>
      <c r="M21" s="10"/>
      <c r="N21" s="29"/>
      <c r="O21" s="29"/>
      <c r="P21" s="29"/>
      <c r="Q21" s="29"/>
      <c r="R21" s="29"/>
    </row>
    <row r="22" spans="1:18" s="5" customFormat="1" x14ac:dyDescent="0.2">
      <c r="A22" s="13" t="s">
        <v>15</v>
      </c>
      <c r="B22" s="25">
        <v>613.97226000000001</v>
      </c>
      <c r="C22" s="13" t="s">
        <v>16</v>
      </c>
      <c r="D22" s="10" t="e">
        <f>(B22+(B23*$C$12))/$C$12^2</f>
        <v>#VALUE!</v>
      </c>
      <c r="E22" s="13" t="s">
        <v>17</v>
      </c>
      <c r="F22" s="24" t="e">
        <f>ROUND(EXP(D23),4)</f>
        <v>#VALUE!</v>
      </c>
      <c r="G22" s="10"/>
      <c r="H22" s="13" t="s">
        <v>15</v>
      </c>
      <c r="I22" s="25">
        <v>613.97226000000001</v>
      </c>
      <c r="J22" s="13" t="s">
        <v>16</v>
      </c>
      <c r="K22" s="10" t="e">
        <f>(I22+(I23*$J$12))/$J$12^2</f>
        <v>#VALUE!</v>
      </c>
      <c r="L22" s="13" t="s">
        <v>17</v>
      </c>
      <c r="M22" s="24" t="e">
        <f>ROUND(EXP(K23),4)</f>
        <v>#VALUE!</v>
      </c>
      <c r="N22" s="29"/>
      <c r="O22" s="29"/>
      <c r="P22" s="29"/>
      <c r="Q22" s="29"/>
      <c r="R22" s="29"/>
    </row>
    <row r="23" spans="1:18" s="5" customFormat="1" x14ac:dyDescent="0.2">
      <c r="A23" s="13" t="s">
        <v>18</v>
      </c>
      <c r="B23" s="25">
        <v>0</v>
      </c>
      <c r="C23" s="13" t="s">
        <v>19</v>
      </c>
      <c r="D23" s="10" t="e">
        <f>-D22*$C$14*(1+(0.8*D22*$C$14))</f>
        <v>#VALUE!</v>
      </c>
      <c r="E23" s="10"/>
      <c r="F23" s="10"/>
      <c r="G23" s="10"/>
      <c r="H23" s="13" t="s">
        <v>18</v>
      </c>
      <c r="I23" s="25">
        <v>0</v>
      </c>
      <c r="J23" s="13" t="s">
        <v>19</v>
      </c>
      <c r="K23" s="10" t="e">
        <f>-K22*$J$14*(1+(0.8*K22*$J$14))</f>
        <v>#VALUE!</v>
      </c>
      <c r="L23" s="10"/>
      <c r="M23" s="10"/>
      <c r="N23" s="16"/>
      <c r="O23" s="16"/>
      <c r="P23" s="16"/>
      <c r="Q23" s="16"/>
      <c r="R23" s="16"/>
    </row>
    <row r="24" spans="1:18" x14ac:dyDescent="0.2">
      <c r="N24" s="16"/>
      <c r="O24" s="16"/>
      <c r="P24" s="16"/>
      <c r="Q24" s="16"/>
      <c r="R24" s="16"/>
    </row>
    <row r="25" spans="1:18" s="5" customFormat="1" x14ac:dyDescent="0.2">
      <c r="A25" s="10" t="s">
        <v>20</v>
      </c>
      <c r="B25" s="10"/>
      <c r="C25" s="10"/>
      <c r="D25" s="10"/>
      <c r="E25" s="10"/>
      <c r="F25" s="10"/>
      <c r="G25" s="10"/>
      <c r="H25" s="10" t="s">
        <v>20</v>
      </c>
      <c r="I25" s="10"/>
      <c r="J25" s="10"/>
      <c r="K25" s="10"/>
      <c r="L25" s="10"/>
      <c r="M25" s="10"/>
      <c r="N25" s="16"/>
      <c r="O25" s="16"/>
      <c r="P25" s="16"/>
      <c r="Q25" s="16"/>
      <c r="R25" s="16"/>
    </row>
    <row r="26" spans="1:18" s="5" customFormat="1" x14ac:dyDescent="0.2">
      <c r="A26" s="13" t="s">
        <v>15</v>
      </c>
      <c r="B26" s="25">
        <v>0</v>
      </c>
      <c r="C26" s="13" t="s">
        <v>16</v>
      </c>
      <c r="D26" s="10" t="e">
        <f>(B26+(B27*$C$12))/$C$12^2</f>
        <v>#VALUE!</v>
      </c>
      <c r="E26" s="13" t="s">
        <v>17</v>
      </c>
      <c r="F26" s="24" t="e">
        <f>ROUND(EXP(D27),4)</f>
        <v>#VALUE!</v>
      </c>
      <c r="G26" s="10"/>
      <c r="H26" s="13" t="s">
        <v>15</v>
      </c>
      <c r="I26" s="25">
        <v>0</v>
      </c>
      <c r="J26" s="13" t="s">
        <v>16</v>
      </c>
      <c r="K26" s="10" t="e">
        <f>(I26+(I27*$J$12))/$J$12^2</f>
        <v>#VALUE!</v>
      </c>
      <c r="L26" s="13" t="s">
        <v>17</v>
      </c>
      <c r="M26" s="24" t="e">
        <f>ROUND(EXP(K27),4)</f>
        <v>#VALUE!</v>
      </c>
      <c r="N26" s="16"/>
      <c r="O26" s="16"/>
      <c r="P26" s="16"/>
      <c r="Q26" s="16"/>
      <c r="R26" s="16"/>
    </row>
    <row r="27" spans="1:18" s="5" customFormat="1" x14ac:dyDescent="0.2">
      <c r="A27" s="13" t="s">
        <v>18</v>
      </c>
      <c r="B27" s="25">
        <v>0.62780000000000002</v>
      </c>
      <c r="C27" s="13" t="s">
        <v>19</v>
      </c>
      <c r="D27" s="10" t="e">
        <f>-D26*$C$14*(1+(0.8*D26*$C$14))</f>
        <v>#VALUE!</v>
      </c>
      <c r="E27" s="10"/>
      <c r="F27" s="10"/>
      <c r="G27" s="10"/>
      <c r="H27" s="13" t="s">
        <v>18</v>
      </c>
      <c r="I27" s="25">
        <v>0.62780000000000002</v>
      </c>
      <c r="J27" s="13" t="s">
        <v>19</v>
      </c>
      <c r="K27" s="10" t="e">
        <f>-K26*$J$14*(1+(0.8*K26*$J$14))</f>
        <v>#VALUE!</v>
      </c>
      <c r="L27" s="10"/>
      <c r="M27" s="10"/>
      <c r="N27" s="16"/>
      <c r="O27" s="16"/>
      <c r="P27" s="16"/>
      <c r="Q27" s="16"/>
      <c r="R27" s="16"/>
    </row>
    <row r="28" spans="1:18" x14ac:dyDescent="0.2">
      <c r="N28" s="16"/>
      <c r="O28" s="16"/>
      <c r="P28" s="16"/>
      <c r="Q28" s="16"/>
      <c r="R28" s="16"/>
    </row>
    <row r="29" spans="1:18" s="5" customFormat="1" x14ac:dyDescent="0.2">
      <c r="A29" s="10" t="s">
        <v>21</v>
      </c>
      <c r="B29" s="10" t="s">
        <v>22</v>
      </c>
      <c r="C29" s="10"/>
      <c r="D29" s="10"/>
      <c r="E29" s="10"/>
      <c r="F29" s="10"/>
      <c r="G29" s="10"/>
      <c r="H29" s="10" t="s">
        <v>21</v>
      </c>
      <c r="I29" s="10" t="s">
        <v>22</v>
      </c>
      <c r="J29" s="10"/>
      <c r="K29" s="10"/>
      <c r="L29" s="10"/>
      <c r="M29" s="10"/>
    </row>
    <row r="30" spans="1:18" s="5" customFormat="1" x14ac:dyDescent="0.2">
      <c r="A30" s="13" t="s">
        <v>15</v>
      </c>
      <c r="B30" s="25">
        <v>346.42277999999999</v>
      </c>
      <c r="C30" s="13" t="s">
        <v>16</v>
      </c>
      <c r="D30" s="10" t="e">
        <f>(B30+(B31*$C$12))/$C$12^2</f>
        <v>#VALUE!</v>
      </c>
      <c r="E30" s="13" t="s">
        <v>17</v>
      </c>
      <c r="F30" s="24" t="e">
        <f>ROUND(EXP(D31),4)</f>
        <v>#VALUE!</v>
      </c>
      <c r="G30" s="10"/>
      <c r="H30" s="13" t="s">
        <v>15</v>
      </c>
      <c r="I30" s="25">
        <v>346.42277999999999</v>
      </c>
      <c r="J30" s="13" t="s">
        <v>16</v>
      </c>
      <c r="K30" s="10" t="e">
        <f>(I30+(I31*$J$12))/$J$12^2</f>
        <v>#VALUE!</v>
      </c>
      <c r="L30" s="13" t="s">
        <v>17</v>
      </c>
      <c r="M30" s="24" t="e">
        <f>ROUND(EXP(K31),4)</f>
        <v>#VALUE!</v>
      </c>
    </row>
    <row r="31" spans="1:18" s="5" customFormat="1" x14ac:dyDescent="0.2">
      <c r="A31" s="13" t="s">
        <v>18</v>
      </c>
      <c r="B31" s="25">
        <v>0.43884000000000001</v>
      </c>
      <c r="C31" s="13" t="s">
        <v>19</v>
      </c>
      <c r="D31" s="10" t="e">
        <f>-D30*$C$14*(1+(0.8*D30*$C$14))</f>
        <v>#VALUE!</v>
      </c>
      <c r="E31" s="10"/>
      <c r="F31" s="10"/>
      <c r="G31" s="10"/>
      <c r="H31" s="13" t="s">
        <v>18</v>
      </c>
      <c r="I31" s="25">
        <v>0.43884000000000001</v>
      </c>
      <c r="J31" s="13" t="s">
        <v>19</v>
      </c>
      <c r="K31" s="10" t="e">
        <f>-K30*$J$14*(1+(0.8*K30*$J$14))</f>
        <v>#VALUE!</v>
      </c>
      <c r="L31" s="10"/>
      <c r="M31" s="10"/>
    </row>
    <row r="32" spans="1:18" x14ac:dyDescent="0.2">
      <c r="N32" s="16"/>
      <c r="O32" s="16"/>
      <c r="P32" s="16"/>
      <c r="Q32" s="16"/>
      <c r="R32" s="16"/>
    </row>
    <row r="33" spans="1:18" s="5" customFormat="1" x14ac:dyDescent="0.2">
      <c r="A33" s="10"/>
      <c r="B33" s="10" t="s">
        <v>23</v>
      </c>
      <c r="C33" s="10"/>
      <c r="D33" s="10"/>
      <c r="E33" s="10"/>
      <c r="F33" s="10"/>
      <c r="H33" s="10"/>
      <c r="I33" s="10" t="s">
        <v>23</v>
      </c>
      <c r="J33" s="10"/>
      <c r="K33" s="10"/>
      <c r="L33" s="10"/>
      <c r="M33" s="10"/>
      <c r="N33" s="22"/>
      <c r="O33" s="22"/>
      <c r="P33" s="22"/>
      <c r="Q33" s="22"/>
      <c r="R33" s="22"/>
    </row>
    <row r="34" spans="1:18" s="5" customFormat="1" x14ac:dyDescent="0.2">
      <c r="A34" s="13"/>
      <c r="B34" s="25"/>
      <c r="C34" s="13" t="s">
        <v>24</v>
      </c>
      <c r="D34" s="10" t="e">
        <f>-0.0033612+(2680.32/(C12^2))</f>
        <v>#VALUE!</v>
      </c>
      <c r="E34" s="13" t="s">
        <v>17</v>
      </c>
      <c r="F34" s="24" t="e">
        <f>ROUND(EXP(D35),4)</f>
        <v>#VALUE!</v>
      </c>
      <c r="H34" s="13"/>
      <c r="I34" s="25"/>
      <c r="J34" s="13" t="s">
        <v>24</v>
      </c>
      <c r="K34" s="10" t="e">
        <f>-0.0033612+(2680.32/(J12^2))</f>
        <v>#VALUE!</v>
      </c>
      <c r="L34" s="13" t="s">
        <v>17</v>
      </c>
      <c r="M34" s="24" t="e">
        <f>ROUND(EXP(K35),4)</f>
        <v>#VALUE!</v>
      </c>
      <c r="N34" s="29"/>
      <c r="O34" s="29"/>
      <c r="P34" s="29"/>
      <c r="Q34" s="29"/>
      <c r="R34" s="29"/>
    </row>
    <row r="35" spans="1:18" s="5" customFormat="1" x14ac:dyDescent="0.2">
      <c r="A35" s="13"/>
      <c r="B35" s="25"/>
      <c r="C35" s="13" t="s">
        <v>25</v>
      </c>
      <c r="D35" s="10" t="e">
        <f>-D34*C14*(1+(0.8*D34*C14))</f>
        <v>#VALUE!</v>
      </c>
      <c r="E35" s="10"/>
      <c r="F35" s="10"/>
      <c r="H35" s="13"/>
      <c r="I35" s="25"/>
      <c r="J35" s="13" t="s">
        <v>25</v>
      </c>
      <c r="K35" s="10" t="e">
        <f>-K34*J14*(1+(0.8*K34*J14))</f>
        <v>#VALUE!</v>
      </c>
      <c r="L35" s="10"/>
      <c r="M35" s="10"/>
      <c r="N35" s="29"/>
      <c r="O35" s="29"/>
      <c r="P35" s="29"/>
      <c r="Q35" s="29"/>
      <c r="R35" s="29"/>
    </row>
    <row r="36" spans="1:18" s="5" customFormat="1" x14ac:dyDescent="0.2">
      <c r="A36" s="10"/>
      <c r="B36" s="10" t="s">
        <v>26</v>
      </c>
      <c r="C36" s="10"/>
      <c r="D36" s="10"/>
      <c r="E36" s="10"/>
      <c r="F36" s="10"/>
      <c r="H36" s="10"/>
      <c r="I36" s="10" t="s">
        <v>26</v>
      </c>
      <c r="J36" s="10"/>
      <c r="K36" s="10"/>
      <c r="L36" s="10"/>
      <c r="M36" s="10"/>
      <c r="N36" s="29"/>
      <c r="O36" s="29"/>
      <c r="P36" s="29"/>
      <c r="Q36" s="29"/>
      <c r="R36" s="29"/>
    </row>
    <row r="37" spans="1:18" s="5" customFormat="1" x14ac:dyDescent="0.2">
      <c r="A37" s="13" t="s">
        <v>15</v>
      </c>
      <c r="B37" s="25">
        <v>594.54179999999997</v>
      </c>
      <c r="C37" s="13" t="s">
        <v>16</v>
      </c>
      <c r="D37" s="10" t="e">
        <f>(B37+(B38*$C$12))/$C$12^2</f>
        <v>#VALUE!</v>
      </c>
      <c r="E37" s="13" t="s">
        <v>17</v>
      </c>
      <c r="F37" s="24" t="e">
        <f>ROUND(EXP(D38),4)</f>
        <v>#VALUE!</v>
      </c>
      <c r="H37" s="13" t="s">
        <v>15</v>
      </c>
      <c r="I37" s="25">
        <v>594.54179999999997</v>
      </c>
      <c r="J37" s="13" t="s">
        <v>16</v>
      </c>
      <c r="K37" s="10" t="e">
        <f>(I37+(I38*$J$12))/$J$12^2</f>
        <v>#VALUE!</v>
      </c>
      <c r="L37" s="13" t="s">
        <v>17</v>
      </c>
      <c r="M37" s="24" t="e">
        <f>ROUND(EXP(K38),4)</f>
        <v>#VALUE!</v>
      </c>
      <c r="N37" s="29"/>
      <c r="O37" s="29"/>
      <c r="P37" s="29"/>
      <c r="Q37" s="29"/>
      <c r="R37" s="29"/>
    </row>
    <row r="38" spans="1:18" s="5" customFormat="1" x14ac:dyDescent="0.2">
      <c r="A38" s="13" t="s">
        <v>18</v>
      </c>
      <c r="B38" s="25">
        <v>0</v>
      </c>
      <c r="C38" s="13" t="s">
        <v>19</v>
      </c>
      <c r="D38" s="10" t="e">
        <f>-D37*$C$14*(1+(0.8*D37*$C$14))</f>
        <v>#VALUE!</v>
      </c>
      <c r="E38" s="10"/>
      <c r="F38" s="10"/>
      <c r="H38" s="13" t="s">
        <v>18</v>
      </c>
      <c r="I38" s="25">
        <v>0</v>
      </c>
      <c r="J38" s="13" t="s">
        <v>19</v>
      </c>
      <c r="K38" s="10" t="e">
        <f>-K37*$J$14*(1+(0.8*K37*$J$14))</f>
        <v>#VALUE!</v>
      </c>
      <c r="L38" s="10"/>
      <c r="M38" s="10"/>
      <c r="N38" s="16"/>
      <c r="O38" s="16"/>
      <c r="P38" s="16"/>
      <c r="Q38" s="16"/>
      <c r="R38" s="16"/>
    </row>
    <row r="39" spans="1:18" s="5" customFormat="1" x14ac:dyDescent="0.2">
      <c r="A39" s="13"/>
      <c r="B39" s="10" t="e">
        <f>(B37+(B38*$C$12))/$C$12^2</f>
        <v>#VALUE!</v>
      </c>
      <c r="C39" s="10"/>
      <c r="D39" s="10"/>
      <c r="E39" s="10"/>
      <c r="F39" s="10"/>
      <c r="H39" s="13"/>
      <c r="I39" s="10" t="e">
        <f>(I37+(I38*$J$12))/$J$12^2</f>
        <v>#VALUE!</v>
      </c>
      <c r="J39" s="10"/>
      <c r="K39" s="10"/>
      <c r="L39" s="10"/>
      <c r="M39" s="10"/>
      <c r="N39" s="16"/>
      <c r="O39" s="16"/>
      <c r="P39" s="16"/>
      <c r="Q39" s="16"/>
      <c r="R39" s="16"/>
    </row>
    <row r="40" spans="1:18" s="5" customFormat="1" x14ac:dyDescent="0.2">
      <c r="A40" s="10"/>
      <c r="B40" s="10" t="s">
        <v>27</v>
      </c>
      <c r="C40" s="10"/>
      <c r="D40" s="10"/>
      <c r="E40" s="10"/>
      <c r="F40" s="10"/>
      <c r="H40" s="10"/>
      <c r="I40" s="10" t="s">
        <v>27</v>
      </c>
      <c r="J40" s="10"/>
      <c r="K40" s="10"/>
      <c r="L40" s="10"/>
      <c r="M40" s="10"/>
      <c r="N40" s="16"/>
      <c r="O40" s="16"/>
      <c r="P40" s="16"/>
      <c r="Q40" s="16"/>
      <c r="R40" s="16"/>
    </row>
    <row r="41" spans="1:18" s="5" customFormat="1" x14ac:dyDescent="0.2">
      <c r="A41" s="13" t="s">
        <v>15</v>
      </c>
      <c r="B41" s="25">
        <v>186.96960000000001</v>
      </c>
      <c r="C41" s="13" t="s">
        <v>16</v>
      </c>
      <c r="D41" s="10" t="e">
        <f>(B41+(B42*$C$12))/$C$12^2</f>
        <v>#VALUE!</v>
      </c>
      <c r="E41" s="13" t="s">
        <v>17</v>
      </c>
      <c r="F41" s="24" t="e">
        <f>ROUND(EXP(D42),4)</f>
        <v>#VALUE!</v>
      </c>
      <c r="H41" s="13" t="s">
        <v>15</v>
      </c>
      <c r="I41" s="25">
        <v>186.96960000000001</v>
      </c>
      <c r="J41" s="13" t="s">
        <v>16</v>
      </c>
      <c r="K41" s="10" t="e">
        <f>(I41+(I42*$J$12))/$J$12^2</f>
        <v>#VALUE!</v>
      </c>
      <c r="L41" s="13" t="s">
        <v>17</v>
      </c>
      <c r="M41" s="24" t="e">
        <f>ROUND(EXP(K42),4)</f>
        <v>#VALUE!</v>
      </c>
      <c r="N41" s="16"/>
      <c r="O41" s="16"/>
      <c r="P41" s="16"/>
      <c r="Q41" s="16"/>
      <c r="R41" s="16"/>
    </row>
    <row r="42" spans="1:18" s="5" customFormat="1" x14ac:dyDescent="0.2">
      <c r="A42" s="13" t="s">
        <v>18</v>
      </c>
      <c r="B42" s="25">
        <v>0.48618</v>
      </c>
      <c r="C42" s="13" t="s">
        <v>19</v>
      </c>
      <c r="D42" s="10" t="e">
        <f>-D41*$C$14*(1+(0.8*D41*$C$14))</f>
        <v>#VALUE!</v>
      </c>
      <c r="E42" s="10"/>
      <c r="F42" s="10"/>
      <c r="H42" s="13" t="s">
        <v>18</v>
      </c>
      <c r="I42" s="25">
        <v>0.48618</v>
      </c>
      <c r="J42" s="13" t="s">
        <v>19</v>
      </c>
      <c r="K42" s="10" t="e">
        <f>-K41*$J$14*(1+(0.8*K41*$J$14))</f>
        <v>#VALUE!</v>
      </c>
      <c r="L42" s="10"/>
      <c r="M42" s="10"/>
      <c r="N42" s="16"/>
      <c r="O42" s="16"/>
      <c r="P42" s="16"/>
      <c r="Q42" s="16"/>
      <c r="R42" s="16"/>
    </row>
    <row r="43" spans="1:18" x14ac:dyDescent="0.2">
      <c r="N43" s="16"/>
      <c r="O43" s="16"/>
      <c r="P43" s="16"/>
      <c r="Q43" s="16"/>
      <c r="R43" s="16"/>
    </row>
    <row r="46" spans="1:18" x14ac:dyDescent="0.2">
      <c r="K46" s="5"/>
      <c r="L46" s="5"/>
      <c r="M46" s="5"/>
      <c r="N46" s="5"/>
      <c r="O46" s="5"/>
      <c r="P46" s="5"/>
      <c r="Q46" s="5"/>
      <c r="R46" s="5"/>
    </row>
    <row r="47" spans="1:18" x14ac:dyDescent="0.2">
      <c r="K47" s="5"/>
      <c r="L47" s="16"/>
      <c r="M47" s="16"/>
      <c r="N47" s="16"/>
      <c r="O47" s="16"/>
      <c r="P47" s="16"/>
      <c r="Q47" s="16"/>
      <c r="R47" s="16"/>
    </row>
    <row r="48" spans="1:18" x14ac:dyDescent="0.2">
      <c r="K48" s="5"/>
      <c r="L48" s="22"/>
      <c r="M48" s="22"/>
      <c r="N48" s="22"/>
      <c r="O48" s="22"/>
      <c r="P48" s="22"/>
      <c r="Q48" s="22"/>
      <c r="R48" s="22"/>
    </row>
    <row r="49" spans="11:18" x14ac:dyDescent="0.2">
      <c r="K49" s="5"/>
      <c r="L49" s="29"/>
      <c r="M49" s="29"/>
      <c r="N49" s="29"/>
      <c r="O49" s="29"/>
      <c r="P49" s="29"/>
      <c r="Q49" s="29"/>
      <c r="R49" s="29"/>
    </row>
    <row r="50" spans="11:18" x14ac:dyDescent="0.2">
      <c r="K50" s="5"/>
      <c r="L50" s="29"/>
      <c r="M50" s="29"/>
      <c r="N50" s="29"/>
      <c r="O50" s="29"/>
      <c r="P50" s="29"/>
      <c r="Q50" s="29"/>
      <c r="R50" s="29"/>
    </row>
    <row r="51" spans="11:18" x14ac:dyDescent="0.2">
      <c r="K51" s="5"/>
      <c r="L51" s="29"/>
      <c r="M51" s="29"/>
      <c r="N51" s="29"/>
      <c r="O51" s="29"/>
      <c r="P51" s="29"/>
      <c r="Q51" s="29"/>
      <c r="R51" s="29"/>
    </row>
    <row r="52" spans="11:18" x14ac:dyDescent="0.2">
      <c r="K52" s="5"/>
      <c r="L52" s="29"/>
      <c r="M52" s="29"/>
      <c r="N52" s="29"/>
      <c r="O52" s="29"/>
      <c r="P52" s="29"/>
      <c r="Q52" s="29"/>
      <c r="R52" s="29"/>
    </row>
    <row r="53" spans="11:18" x14ac:dyDescent="0.2">
      <c r="K53" s="5"/>
      <c r="L53" s="16"/>
      <c r="M53" s="16"/>
      <c r="N53" s="16"/>
      <c r="O53" s="16"/>
      <c r="P53" s="16"/>
      <c r="Q53" s="16"/>
      <c r="R53" s="16"/>
    </row>
    <row r="54" spans="11:18" x14ac:dyDescent="0.2">
      <c r="K54" s="5"/>
      <c r="L54" s="16"/>
      <c r="M54" s="16"/>
      <c r="N54" s="16"/>
      <c r="O54" s="16"/>
      <c r="P54" s="16"/>
      <c r="Q54" s="16"/>
      <c r="R54" s="16"/>
    </row>
    <row r="55" spans="11:18" x14ac:dyDescent="0.2">
      <c r="K55" s="5"/>
      <c r="L55" s="16"/>
      <c r="M55" s="16"/>
      <c r="N55" s="16"/>
      <c r="O55" s="16"/>
      <c r="P55" s="16"/>
      <c r="Q55" s="16"/>
      <c r="R55" s="16"/>
    </row>
    <row r="56" spans="11:18" x14ac:dyDescent="0.2">
      <c r="K56" s="5"/>
      <c r="L56" s="16"/>
      <c r="M56" s="16"/>
      <c r="N56" s="16"/>
      <c r="O56" s="16"/>
      <c r="P56" s="16"/>
      <c r="Q56" s="16"/>
      <c r="R56" s="16"/>
    </row>
    <row r="57" spans="11:18" x14ac:dyDescent="0.2">
      <c r="K57" s="5"/>
      <c r="L57" s="16"/>
      <c r="M57" s="16"/>
      <c r="N57" s="16"/>
      <c r="O57" s="16"/>
      <c r="P57" s="16"/>
      <c r="Q57" s="16"/>
      <c r="R57" s="16"/>
    </row>
    <row r="58" spans="11:18" x14ac:dyDescent="0.2">
      <c r="K58" s="5"/>
      <c r="L58" s="16"/>
      <c r="M58" s="16"/>
      <c r="N58" s="16"/>
      <c r="O58" s="16"/>
      <c r="P58" s="16"/>
      <c r="Q58" s="16"/>
      <c r="R58" s="16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ASTM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SpecialGravity</dc:title>
  <dc:creator/>
  <cp:lastModifiedBy/>
  <dcterms:created xsi:type="dcterms:W3CDTF">2015-06-05T18:19:34Z</dcterms:created>
  <dcterms:modified xsi:type="dcterms:W3CDTF">2023-06-01T18:17:36Z</dcterms:modified>
</cp:coreProperties>
</file>